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ão Paulo\Desktop\ISO CONSTRUCT\CURSOS\Wood Frame\"/>
    </mc:Choice>
  </mc:AlternateContent>
  <xr:revisionPtr revIDLastSave="0" documentId="13_ncr:1_{11F07453-67F2-450C-8136-E17CC2AF54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85" i="1"/>
  <c r="E39" i="1"/>
  <c r="C47" i="1"/>
  <c r="B174" i="1"/>
  <c r="C174" i="1" s="1"/>
  <c r="D174" i="1" s="1"/>
  <c r="E174" i="1" s="1"/>
  <c r="F174" i="1" s="1"/>
  <c r="C175" i="1"/>
  <c r="D177" i="1"/>
  <c r="C177" i="1"/>
  <c r="F44" i="1"/>
  <c r="F85" i="1" s="1"/>
  <c r="C52" i="1"/>
  <c r="C60" i="1"/>
  <c r="D186" i="1"/>
  <c r="D191" i="1"/>
  <c r="J66" i="1"/>
  <c r="J65" i="1"/>
  <c r="D176" i="1"/>
  <c r="C176" i="1"/>
  <c r="J59" i="1"/>
  <c r="J60" i="1" s="1"/>
  <c r="E53" i="1"/>
  <c r="C53" i="1"/>
  <c r="E52" i="1"/>
  <c r="E51" i="1"/>
  <c r="C51" i="1"/>
  <c r="C6" i="1"/>
  <c r="C7" i="1" s="1"/>
  <c r="E7" i="1" s="1"/>
  <c r="I10" i="1"/>
  <c r="E176" i="1" l="1"/>
  <c r="M59" i="1" s="1"/>
  <c r="D81" i="1" s="1"/>
  <c r="E169" i="1" s="1"/>
  <c r="E177" i="1"/>
  <c r="D82" i="1"/>
  <c r="M60" i="1"/>
  <c r="J67" i="1"/>
  <c r="D192" i="1" s="1"/>
  <c r="D178" i="1"/>
  <c r="C179" i="1" s="1"/>
  <c r="C59" i="1" s="1"/>
  <c r="C62" i="1" s="1"/>
  <c r="J61" i="1"/>
  <c r="G17" i="1"/>
  <c r="C9" i="1"/>
  <c r="I5" i="1"/>
  <c r="E170" i="1" l="1"/>
  <c r="H169" i="1"/>
  <c r="G170" i="1"/>
  <c r="J62" i="1"/>
  <c r="C68" i="1"/>
  <c r="C70" i="1" s="1"/>
  <c r="C67" i="1"/>
  <c r="I63" i="1" l="1"/>
  <c r="J64" i="1" s="1"/>
  <c r="D190" i="1" s="1"/>
  <c r="C194" i="1" s="1"/>
  <c r="C195" i="1" s="1"/>
  <c r="C58" i="1" s="1"/>
  <c r="C61" i="1" s="1"/>
  <c r="C71" i="1"/>
  <c r="C72" i="1" s="1"/>
  <c r="C63" i="1" s="1"/>
  <c r="C169" i="1" l="1"/>
  <c r="C89" i="1" s="1"/>
  <c r="C170" i="1"/>
  <c r="C91" i="1" s="1"/>
  <c r="F67" i="1"/>
  <c r="F68" i="1"/>
  <c r="F70" i="1" s="1"/>
  <c r="F71" i="1" l="1"/>
  <c r="F72" i="1" s="1"/>
  <c r="C64" i="1" s="1"/>
  <c r="C74" i="1" s="1"/>
  <c r="C75" i="1" s="1"/>
</calcChain>
</file>

<file path=xl/sharedStrings.xml><?xml version="1.0" encoding="utf-8"?>
<sst xmlns="http://schemas.openxmlformats.org/spreadsheetml/2006/main" count="154" uniqueCount="123">
  <si>
    <t>Largura</t>
  </si>
  <si>
    <t>Altura</t>
  </si>
  <si>
    <t>Comprimento</t>
  </si>
  <si>
    <t>Densidade</t>
  </si>
  <si>
    <t>m</t>
  </si>
  <si>
    <t>Comprimento Total das Vigas</t>
  </si>
  <si>
    <t>Peso Total das Vigas</t>
  </si>
  <si>
    <t>kN</t>
  </si>
  <si>
    <t>Peso por Metro Quadrado:</t>
  </si>
  <si>
    <t>Área do Telhado:</t>
  </si>
  <si>
    <t>Peso Total das Telhas:</t>
  </si>
  <si>
    <t>TELHADO</t>
  </si>
  <si>
    <t>Area telhado</t>
  </si>
  <si>
    <t>m²</t>
  </si>
  <si>
    <t>Peso das Telhas Metálicas</t>
  </si>
  <si>
    <t>Peso dos montantes de Pinus</t>
  </si>
  <si>
    <t>Painel Fotovoltaico</t>
  </si>
  <si>
    <t>kg/m²</t>
  </si>
  <si>
    <t xml:space="preserve"> kN/m²</t>
  </si>
  <si>
    <t>Peso Total Paineis</t>
  </si>
  <si>
    <t>Quantidativo Parafusos</t>
  </si>
  <si>
    <t>Quantidade</t>
  </si>
  <si>
    <t>Tipo</t>
  </si>
  <si>
    <t>Metros de Viga</t>
  </si>
  <si>
    <t>mm</t>
  </si>
  <si>
    <t>mm2</t>
  </si>
  <si>
    <t>Volume Montante</t>
  </si>
  <si>
    <t>m3</t>
  </si>
  <si>
    <t>Peso montante 3m</t>
  </si>
  <si>
    <t>kg/m3</t>
  </si>
  <si>
    <t>kg</t>
  </si>
  <si>
    <t>kg/m</t>
  </si>
  <si>
    <t xml:space="preserve">                                                                                                                                                                                  </t>
  </si>
  <si>
    <t>PILARES SOLIDARIZADOS DESCONTINUAMENTE</t>
  </si>
  <si>
    <t>DIMENÇÕES</t>
  </si>
  <si>
    <t>largura</t>
  </si>
  <si>
    <t>espessura</t>
  </si>
  <si>
    <t>comprimento</t>
  </si>
  <si>
    <t>ESTABILIDADE LOCAL</t>
  </si>
  <si>
    <t>CARACTERISTICAS</t>
  </si>
  <si>
    <t>COMPRIMENTO TOTAL (L)</t>
  </si>
  <si>
    <t>h1</t>
  </si>
  <si>
    <t>b1</t>
  </si>
  <si>
    <t>L1</t>
  </si>
  <si>
    <t>N</t>
  </si>
  <si>
    <t>a (largura espaçador)</t>
  </si>
  <si>
    <t>kmod</t>
  </si>
  <si>
    <t>a &lt; 3b1</t>
  </si>
  <si>
    <t>&lt;</t>
  </si>
  <si>
    <t>ok!</t>
  </si>
  <si>
    <t>L1 &lt; 18b1</t>
  </si>
  <si>
    <t>L1 &gt; 9b1</t>
  </si>
  <si>
    <t>&gt;</t>
  </si>
  <si>
    <t>Condição</t>
  </si>
  <si>
    <t>ESTABILIDADE GLOBAL</t>
  </si>
  <si>
    <t>Atot = 2A1</t>
  </si>
  <si>
    <t>A1 = b1xh1</t>
  </si>
  <si>
    <t>mm4</t>
  </si>
  <si>
    <t>Itot</t>
  </si>
  <si>
    <t>Ix</t>
  </si>
  <si>
    <t>Ix = 2xb1xh1^3/12</t>
  </si>
  <si>
    <t>IT</t>
  </si>
  <si>
    <t>λ = L *Raiz quadrada (AT/IT)</t>
  </si>
  <si>
    <t>λ=</t>
  </si>
  <si>
    <t>λ1= RAIZ12 * L1/b1</t>
  </si>
  <si>
    <t>λ1 =</t>
  </si>
  <si>
    <t>DETERMINAÇÃO INDICE DE ESBELTEZ EFETIVO FLAMBAGEM EIXO Y</t>
  </si>
  <si>
    <t>n*n/2</t>
  </si>
  <si>
    <t>λ1^2</t>
  </si>
  <si>
    <t>λ^2</t>
  </si>
  <si>
    <t xml:space="preserve">λef,y = </t>
  </si>
  <si>
    <t>λx</t>
  </si>
  <si>
    <t>i=Ix/A</t>
  </si>
  <si>
    <t>Lo = KE * L</t>
  </si>
  <si>
    <t>Lo=</t>
  </si>
  <si>
    <t xml:space="preserve">KE </t>
  </si>
  <si>
    <t>λ Mecanico</t>
  </si>
  <si>
    <t>MADEIRA</t>
  </si>
  <si>
    <t xml:space="preserve">Ec0 </t>
  </si>
  <si>
    <t>fcoK</t>
  </si>
  <si>
    <t>coef</t>
  </si>
  <si>
    <t xml:space="preserve">λrel, y </t>
  </si>
  <si>
    <t>λrel, x</t>
  </si>
  <si>
    <t>Piunus C30</t>
  </si>
  <si>
    <t>Kx</t>
  </si>
  <si>
    <t>βc</t>
  </si>
  <si>
    <t>λrel, x^2</t>
  </si>
  <si>
    <t>λrel, x - 0,3</t>
  </si>
  <si>
    <t>βc*(λrel, x - 0,3)</t>
  </si>
  <si>
    <t>λrel, y^2</t>
  </si>
  <si>
    <t>λrel, y - 0,3</t>
  </si>
  <si>
    <t>βc*(λrel, y - 0,3)</t>
  </si>
  <si>
    <t>Ky</t>
  </si>
  <si>
    <t>Kcx</t>
  </si>
  <si>
    <t>Calculo Kx e Ky</t>
  </si>
  <si>
    <t>Kcy</t>
  </si>
  <si>
    <t>Vd</t>
  </si>
  <si>
    <t>Fv,d</t>
  </si>
  <si>
    <t>a1</t>
  </si>
  <si>
    <t>PINUS C30</t>
  </si>
  <si>
    <r>
      <t>(σ</t>
    </r>
    <r>
      <rPr>
        <sz val="9"/>
        <color rgb="FF242021"/>
        <rFont val="ArialMT2"/>
      </rPr>
      <t>Nc,d/Kcx*fco,d)</t>
    </r>
    <r>
      <rPr>
        <sz val="11"/>
        <color rgb="FF242021"/>
        <rFont val="TimesNewRomanPSMT"/>
      </rPr>
      <t xml:space="preserve"> + (σMx,d/fm,d) + KM*(σMy,d/fm,d) &lt;= 1</t>
    </r>
  </si>
  <si>
    <t>VERIFICAÇÃO ELU</t>
  </si>
  <si>
    <r>
      <t>σ</t>
    </r>
    <r>
      <rPr>
        <sz val="9"/>
        <color rgb="FF242021"/>
        <rFont val="ArialMT2"/>
      </rPr>
      <t>Mx,d</t>
    </r>
    <r>
      <rPr>
        <sz val="11"/>
        <color rgb="FF242021"/>
        <rFont val="TimesNewRomanPSMT"/>
      </rPr>
      <t xml:space="preserve"> = Mx,dy/Ix</t>
    </r>
  </si>
  <si>
    <r>
      <t>σ</t>
    </r>
    <r>
      <rPr>
        <sz val="9"/>
        <color rgb="FF242021"/>
        <rFont val="ArialMT2"/>
      </rPr>
      <t>My,d</t>
    </r>
    <r>
      <rPr>
        <sz val="11"/>
        <color rgb="FF242021"/>
        <rFont val="TimesNewRomanPSMT"/>
      </rPr>
      <t xml:space="preserve"> = My,dy/Iy</t>
    </r>
  </si>
  <si>
    <t>Inclinação</t>
  </si>
  <si>
    <t>Nc,d</t>
  </si>
  <si>
    <t>N (nº pilares solidarizados)</t>
  </si>
  <si>
    <t>fc0,d</t>
  </si>
  <si>
    <r>
      <t>σ</t>
    </r>
    <r>
      <rPr>
        <sz val="9"/>
        <color rgb="FF242021"/>
        <rFont val="ArialMT2"/>
      </rPr>
      <t>Nc,d</t>
    </r>
    <r>
      <rPr>
        <sz val="11"/>
        <color rgb="FF242021"/>
        <rFont val="TimesNewRomanPSMT"/>
      </rPr>
      <t xml:space="preserve"> = </t>
    </r>
  </si>
  <si>
    <r>
      <t>σ</t>
    </r>
    <r>
      <rPr>
        <sz val="9"/>
        <color rgb="FF242021"/>
        <rFont val="ArialMT2"/>
      </rPr>
      <t>Nc,d</t>
    </r>
    <r>
      <rPr>
        <sz val="11"/>
        <color rgb="FF242021"/>
        <rFont val="TimesNewRomanPSMT"/>
      </rPr>
      <t xml:space="preserve"> </t>
    </r>
  </si>
  <si>
    <t xml:space="preserve">fco,d = </t>
  </si>
  <si>
    <t>+</t>
  </si>
  <si>
    <t>Mx,d</t>
  </si>
  <si>
    <t>My,d</t>
  </si>
  <si>
    <t>COMBINAÇÕES</t>
  </si>
  <si>
    <t>Iy = 2xh1xb1^3/12</t>
  </si>
  <si>
    <t xml:space="preserve">σMx = </t>
  </si>
  <si>
    <t xml:space="preserve">σMy = </t>
  </si>
  <si>
    <t>x = 89</t>
  </si>
  <si>
    <t>y = 38</t>
  </si>
  <si>
    <t>Ok!</t>
  </si>
  <si>
    <r>
      <t>(σ</t>
    </r>
    <r>
      <rPr>
        <sz val="9"/>
        <color rgb="FF242021"/>
        <rFont val="ArialMT2"/>
      </rPr>
      <t>Nc,d/Kcx*fco,d)</t>
    </r>
    <r>
      <rPr>
        <sz val="11"/>
        <color rgb="FF242021"/>
        <rFont val="TimesNewRomanPSMT"/>
      </rPr>
      <t xml:space="preserve"> + KM*(σMx,d/fm,d) + (σMy,d/fm,d) &lt;= 1</t>
    </r>
  </si>
  <si>
    <t>VERIFICAÇÂO ESTABILIDADE PILAR (COMPRESSÃO)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</si>
</sst>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11"/>
      <color rgb="FF242021"/>
      <name val="TimesNewRomanPSMT"/>
    </font>
    <font>
      <sz val="9"/>
      <color rgb="FF242021"/>
      <name val="ArialMT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1" applyNumberFormat="0" applyAlignment="0" applyProtection="0"/>
  </cellStyleXfs>
  <cellXfs count="1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1" applyNumberFormat="1" applyFont="1"/>
    <xf numFmtId="0" fontId="0" fillId="3" borderId="0" xfId="0" applyFill="1"/>
    <xf numFmtId="0" fontId="0" fillId="6" borderId="0" xfId="0" applyFill="1"/>
    <xf numFmtId="0" fontId="5" fillId="0" borderId="0" xfId="2" applyBorder="1" applyAlignment="1">
      <alignment horizontal="center"/>
    </xf>
    <xf numFmtId="0" fontId="5" fillId="0" borderId="8" xfId="2" applyBorder="1" applyAlignment="1">
      <alignment horizontal="center"/>
    </xf>
    <xf numFmtId="0" fontId="5" fillId="0" borderId="0" xfId="2" applyFill="1" applyBorder="1"/>
    <xf numFmtId="0" fontId="5" fillId="0" borderId="5" xfId="2" applyBorder="1" applyAlignment="1">
      <alignment horizontal="center"/>
    </xf>
    <xf numFmtId="0" fontId="5" fillId="0" borderId="6" xfId="2" applyBorder="1" applyAlignment="1">
      <alignment horizontal="center"/>
    </xf>
    <xf numFmtId="0" fontId="6" fillId="4" borderId="6" xfId="3" applyBorder="1" applyAlignment="1">
      <alignment horizontal="center"/>
    </xf>
    <xf numFmtId="0" fontId="5" fillId="0" borderId="7" xfId="2" applyBorder="1" applyAlignment="1">
      <alignment horizontal="center"/>
    </xf>
    <xf numFmtId="0" fontId="6" fillId="4" borderId="9" xfId="3" applyBorder="1" applyAlignment="1">
      <alignment horizontal="center"/>
    </xf>
    <xf numFmtId="0" fontId="8" fillId="0" borderId="0" xfId="0" applyFont="1"/>
    <xf numFmtId="0" fontId="0" fillId="8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8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8" xfId="0" applyFill="1" applyBorder="1"/>
    <xf numFmtId="0" fontId="0" fillId="0" borderId="7" xfId="0" applyBorder="1"/>
    <xf numFmtId="0" fontId="0" fillId="0" borderId="9" xfId="0" applyBorder="1"/>
    <xf numFmtId="0" fontId="0" fillId="10" borderId="4" xfId="0" applyFill="1" applyBorder="1"/>
    <xf numFmtId="0" fontId="0" fillId="10" borderId="9" xfId="0" applyFill="1" applyBorder="1"/>
    <xf numFmtId="0" fontId="8" fillId="10" borderId="2" xfId="0" applyFont="1" applyFill="1" applyBorder="1"/>
    <xf numFmtId="0" fontId="8" fillId="10" borderId="7" xfId="0" applyFont="1" applyFill="1" applyBorder="1"/>
    <xf numFmtId="0" fontId="0" fillId="8" borderId="2" xfId="0" applyFill="1" applyBorder="1"/>
    <xf numFmtId="0" fontId="0" fillId="8" borderId="4" xfId="0" applyFill="1" applyBorder="1"/>
    <xf numFmtId="0" fontId="0" fillId="8" borderId="5" xfId="0" applyFill="1" applyBorder="1"/>
    <xf numFmtId="0" fontId="0" fillId="8" borderId="6" xfId="0" applyFill="1" applyBorder="1"/>
    <xf numFmtId="0" fontId="0" fillId="8" borderId="7" xfId="0" applyFill="1" applyBorder="1"/>
    <xf numFmtId="0" fontId="0" fillId="8" borderId="9" xfId="0" applyFill="1" applyBorder="1"/>
    <xf numFmtId="0" fontId="0" fillId="11" borderId="2" xfId="0" applyFill="1" applyBorder="1"/>
    <xf numFmtId="0" fontId="0" fillId="11" borderId="3" xfId="0" applyFill="1" applyBorder="1"/>
    <xf numFmtId="0" fontId="0" fillId="11" borderId="4" xfId="0" applyFill="1" applyBorder="1"/>
    <xf numFmtId="0" fontId="0" fillId="11" borderId="5" xfId="0" applyFill="1" applyBorder="1"/>
    <xf numFmtId="0" fontId="0" fillId="11" borderId="0" xfId="0" applyFill="1"/>
    <xf numFmtId="0" fontId="0" fillId="11" borderId="6" xfId="0" applyFill="1" applyBorder="1"/>
    <xf numFmtId="0" fontId="0" fillId="11" borderId="7" xfId="0" applyFill="1" applyBorder="1"/>
    <xf numFmtId="0" fontId="0" fillId="11" borderId="8" xfId="0" applyFill="1" applyBorder="1"/>
    <xf numFmtId="0" fontId="0" fillId="11" borderId="9" xfId="0" applyFill="1" applyBorder="1"/>
    <xf numFmtId="0" fontId="0" fillId="9" borderId="2" xfId="0" applyFill="1" applyBorder="1"/>
    <xf numFmtId="0" fontId="0" fillId="9" borderId="3" xfId="0" applyFill="1" applyBorder="1"/>
    <xf numFmtId="0" fontId="0" fillId="9" borderId="4" xfId="0" applyFill="1" applyBorder="1"/>
    <xf numFmtId="0" fontId="0" fillId="9" borderId="5" xfId="0" applyFill="1" applyBorder="1"/>
    <xf numFmtId="0" fontId="0" fillId="9" borderId="0" xfId="0" applyFill="1"/>
    <xf numFmtId="0" fontId="0" fillId="9" borderId="6" xfId="0" applyFill="1" applyBorder="1"/>
    <xf numFmtId="0" fontId="0" fillId="3" borderId="6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1" fillId="12" borderId="2" xfId="0" applyFont="1" applyFill="1" applyBorder="1"/>
    <xf numFmtId="0" fontId="1" fillId="12" borderId="3" xfId="0" applyFont="1" applyFill="1" applyBorder="1"/>
    <xf numFmtId="0" fontId="3" fillId="12" borderId="3" xfId="0" applyFont="1" applyFill="1" applyBorder="1"/>
    <xf numFmtId="0" fontId="3" fillId="12" borderId="4" xfId="0" applyFont="1" applyFill="1" applyBorder="1"/>
    <xf numFmtId="0" fontId="3" fillId="12" borderId="5" xfId="0" applyFont="1" applyFill="1" applyBorder="1"/>
    <xf numFmtId="0" fontId="3" fillId="12" borderId="0" xfId="0" applyFont="1" applyFill="1"/>
    <xf numFmtId="0" fontId="3" fillId="12" borderId="6" xfId="0" applyFont="1" applyFill="1" applyBorder="1"/>
    <xf numFmtId="3" fontId="3" fillId="12" borderId="0" xfId="0" applyNumberFormat="1" applyFont="1" applyFill="1"/>
    <xf numFmtId="3" fontId="9" fillId="12" borderId="0" xfId="0" applyNumberFormat="1" applyFont="1" applyFill="1"/>
    <xf numFmtId="0" fontId="3" fillId="12" borderId="0" xfId="0" applyFont="1" applyFill="1" applyAlignment="1">
      <alignment wrapText="1"/>
    </xf>
    <xf numFmtId="0" fontId="3" fillId="12" borderId="7" xfId="0" applyFont="1" applyFill="1" applyBorder="1"/>
    <xf numFmtId="0" fontId="3" fillId="12" borderId="8" xfId="0" applyFont="1" applyFill="1" applyBorder="1"/>
    <xf numFmtId="0" fontId="3" fillId="12" borderId="9" xfId="0" applyFont="1" applyFill="1" applyBorder="1"/>
    <xf numFmtId="0" fontId="10" fillId="0" borderId="0" xfId="0" applyFont="1"/>
    <xf numFmtId="0" fontId="0" fillId="14" borderId="2" xfId="0" applyFill="1" applyBorder="1"/>
    <xf numFmtId="0" fontId="0" fillId="14" borderId="3" xfId="0" applyFill="1" applyBorder="1"/>
    <xf numFmtId="0" fontId="0" fillId="14" borderId="4" xfId="0" applyFill="1" applyBorder="1"/>
    <xf numFmtId="0" fontId="0" fillId="14" borderId="5" xfId="0" applyFill="1" applyBorder="1"/>
    <xf numFmtId="0" fontId="0" fillId="14" borderId="0" xfId="0" applyFill="1"/>
    <xf numFmtId="0" fontId="0" fillId="14" borderId="6" xfId="0" applyFill="1" applyBorder="1"/>
    <xf numFmtId="0" fontId="0" fillId="14" borderId="7" xfId="0" applyFill="1" applyBorder="1"/>
    <xf numFmtId="9" fontId="0" fillId="14" borderId="8" xfId="0" applyNumberFormat="1" applyFill="1" applyBorder="1"/>
    <xf numFmtId="0" fontId="0" fillId="14" borderId="9" xfId="0" applyFill="1" applyBorder="1"/>
    <xf numFmtId="0" fontId="0" fillId="13" borderId="2" xfId="0" applyFill="1" applyBorder="1"/>
    <xf numFmtId="0" fontId="0" fillId="13" borderId="3" xfId="0" applyFill="1" applyBorder="1"/>
    <xf numFmtId="0" fontId="0" fillId="13" borderId="4" xfId="0" applyFill="1" applyBorder="1"/>
    <xf numFmtId="0" fontId="0" fillId="13" borderId="7" xfId="0" applyFill="1" applyBorder="1"/>
    <xf numFmtId="0" fontId="0" fillId="13" borderId="8" xfId="0" applyFill="1" applyBorder="1"/>
    <xf numFmtId="0" fontId="0" fillId="13" borderId="9" xfId="0" applyFill="1" applyBorder="1"/>
    <xf numFmtId="0" fontId="0" fillId="7" borderId="2" xfId="0" applyFill="1" applyBorder="1"/>
    <xf numFmtId="0" fontId="0" fillId="7" borderId="4" xfId="0" applyFill="1" applyBorder="1"/>
    <xf numFmtId="0" fontId="0" fillId="7" borderId="5" xfId="0" applyFill="1" applyBorder="1"/>
    <xf numFmtId="0" fontId="0" fillId="7" borderId="6" xfId="0" applyFill="1" applyBorder="1"/>
    <xf numFmtId="0" fontId="0" fillId="7" borderId="7" xfId="0" applyFill="1" applyBorder="1"/>
    <xf numFmtId="0" fontId="0" fillId="7" borderId="9" xfId="0" applyFill="1" applyBorder="1"/>
    <xf numFmtId="0" fontId="1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7" xfId="0" applyFont="1" applyBorder="1"/>
    <xf numFmtId="0" fontId="0" fillId="0" borderId="14" xfId="0" applyBorder="1"/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6" xfId="0" applyFill="1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15" borderId="0" xfId="0" applyFill="1" applyAlignment="1">
      <alignment horizontal="center"/>
    </xf>
    <xf numFmtId="0" fontId="10" fillId="0" borderId="5" xfId="0" applyFont="1" applyBorder="1"/>
    <xf numFmtId="0" fontId="0" fillId="7" borderId="13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0" fillId="7" borderId="14" xfId="0" applyFill="1" applyBorder="1" applyAlignment="1">
      <alignment horizontal="center"/>
    </xf>
    <xf numFmtId="0" fontId="0" fillId="0" borderId="8" xfId="0" applyBorder="1"/>
    <xf numFmtId="0" fontId="8" fillId="16" borderId="13" xfId="0" applyFont="1" applyFill="1" applyBorder="1"/>
    <xf numFmtId="0" fontId="0" fillId="16" borderId="14" xfId="0" applyFill="1" applyBorder="1"/>
    <xf numFmtId="0" fontId="8" fillId="0" borderId="5" xfId="0" applyFont="1" applyBorder="1"/>
    <xf numFmtId="0" fontId="8" fillId="0" borderId="13" xfId="0" applyFont="1" applyBorder="1"/>
    <xf numFmtId="0" fontId="7" fillId="5" borderId="10" xfId="4" applyBorder="1" applyAlignment="1">
      <alignment horizontal="center"/>
    </xf>
    <xf numFmtId="0" fontId="7" fillId="5" borderId="11" xfId="4" applyBorder="1" applyAlignment="1">
      <alignment horizontal="center"/>
    </xf>
    <xf numFmtId="0" fontId="7" fillId="5" borderId="12" xfId="4" applyBorder="1" applyAlignment="1">
      <alignment horizontal="center"/>
    </xf>
  </cellXfs>
  <cellStyles count="5">
    <cellStyle name="Bom" xfId="3" builtinId="26"/>
    <cellStyle name="Cálculo" xfId="4" builtinId="22"/>
    <cellStyle name="Normal" xfId="0" builtinId="0"/>
    <cellStyle name="Porcentagem" xfId="1" builtinId="5"/>
    <cellStyle name="Título 4" xfId="2" builtin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110837</xdr:colOff>
      <xdr:row>3</xdr:row>
      <xdr:rowOff>138545</xdr:rowOff>
    </xdr:from>
    <xdr:to>
      <xdr:col>14</xdr:col>
      <xdr:colOff>174944</xdr:colOff>
      <xdr:row>7</xdr:row>
      <xdr:rowOff>78323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29545F9F-0B79-4274-AB98-DEA283103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2437" y="692727"/>
          <a:ext cx="2405525" cy="687923"/>
        </a:xfrm>
        <a:prstGeom prst="rect">
          <a:avLst/>
        </a:prstGeom>
      </xdr:spPr>
    </xdr:pic>
    <xdr:clientData/>
  </xdr:twoCellAnchor>
  <xdr:twoCellAnchor editAs="oneCell">
    <xdr:from>
      <xdr:col>11</xdr:col>
      <xdr:colOff>110835</xdr:colOff>
      <xdr:row>9</xdr:row>
      <xdr:rowOff>13854</xdr:rowOff>
    </xdr:from>
    <xdr:to>
      <xdr:col>18</xdr:col>
      <xdr:colOff>1109907</xdr:colOff>
      <xdr:row>11</xdr:row>
      <xdr:rowOff>135548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43ECF4C5-03A7-4C27-A728-86ACE6219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12435" y="1690254"/>
          <a:ext cx="7192054" cy="495767"/>
        </a:xfrm>
        <a:prstGeom prst="rect">
          <a:avLst/>
        </a:prstGeom>
      </xdr:spPr>
    </xdr:pic>
    <xdr:clientData/>
  </xdr:twoCellAnchor>
  <xdr:twoCellAnchor editAs="oneCell">
    <xdr:from>
      <xdr:col>10</xdr:col>
      <xdr:colOff>831273</xdr:colOff>
      <xdr:row>13</xdr:row>
      <xdr:rowOff>27710</xdr:rowOff>
    </xdr:from>
    <xdr:to>
      <xdr:col>18</xdr:col>
      <xdr:colOff>694357</xdr:colOff>
      <xdr:row>41</xdr:row>
      <xdr:rowOff>54498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4334997-78D5-4BEC-931E-C6D693557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60037" y="2452255"/>
          <a:ext cx="6928902" cy="5221428"/>
        </a:xfrm>
        <a:prstGeom prst="rect">
          <a:avLst/>
        </a:prstGeom>
      </xdr:spPr>
    </xdr:pic>
    <xdr:clientData/>
  </xdr:twoCellAnchor>
  <xdr:twoCellAnchor editAs="oneCell">
    <xdr:from>
      <xdr:col>11</xdr:col>
      <xdr:colOff>166254</xdr:colOff>
      <xdr:row>41</xdr:row>
      <xdr:rowOff>55418</xdr:rowOff>
    </xdr:from>
    <xdr:to>
      <xdr:col>20</xdr:col>
      <xdr:colOff>477245</xdr:colOff>
      <xdr:row>63</xdr:row>
      <xdr:rowOff>2797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BE817498-0B9B-4265-A35A-9BF91F0C5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967854" y="7647709"/>
          <a:ext cx="8596009" cy="3987730"/>
        </a:xfrm>
        <a:prstGeom prst="rect">
          <a:avLst/>
        </a:prstGeom>
      </xdr:spPr>
    </xdr:pic>
    <xdr:clientData/>
  </xdr:twoCellAnchor>
  <xdr:twoCellAnchor editAs="oneCell">
    <xdr:from>
      <xdr:col>11</xdr:col>
      <xdr:colOff>138545</xdr:colOff>
      <xdr:row>64</xdr:row>
      <xdr:rowOff>55420</xdr:rowOff>
    </xdr:from>
    <xdr:to>
      <xdr:col>19</xdr:col>
      <xdr:colOff>297030</xdr:colOff>
      <xdr:row>81</xdr:row>
      <xdr:rowOff>57838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CBA27277-C534-4044-84EC-AACC6EE8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940145" y="11817929"/>
          <a:ext cx="7833903" cy="3109911"/>
        </a:xfrm>
        <a:prstGeom prst="rect">
          <a:avLst/>
        </a:prstGeom>
      </xdr:spPr>
    </xdr:pic>
    <xdr:clientData/>
  </xdr:twoCellAnchor>
  <xdr:twoCellAnchor editAs="oneCell">
    <xdr:from>
      <xdr:col>11</xdr:col>
      <xdr:colOff>55419</xdr:colOff>
      <xdr:row>82</xdr:row>
      <xdr:rowOff>13855</xdr:rowOff>
    </xdr:from>
    <xdr:to>
      <xdr:col>23</xdr:col>
      <xdr:colOff>153826</xdr:colOff>
      <xdr:row>90</xdr:row>
      <xdr:rowOff>24290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9658C921-C32A-4049-99D4-648FB4D23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57019" y="15046037"/>
          <a:ext cx="10212225" cy="1493442"/>
        </a:xfrm>
        <a:prstGeom prst="rect">
          <a:avLst/>
        </a:prstGeom>
      </xdr:spPr>
    </xdr:pic>
    <xdr:clientData/>
  </xdr:twoCellAnchor>
  <xdr:twoCellAnchor editAs="oneCell">
    <xdr:from>
      <xdr:col>10</xdr:col>
      <xdr:colOff>858981</xdr:colOff>
      <xdr:row>91</xdr:row>
      <xdr:rowOff>13855</xdr:rowOff>
    </xdr:from>
    <xdr:to>
      <xdr:col>26</xdr:col>
      <xdr:colOff>269629</xdr:colOff>
      <xdr:row>116</xdr:row>
      <xdr:rowOff>39966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A38519D3-1362-4202-BB71-AF301AE0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87745" y="16667019"/>
          <a:ext cx="12226102" cy="4545381"/>
        </a:xfrm>
        <a:prstGeom prst="rect">
          <a:avLst/>
        </a:prstGeom>
      </xdr:spPr>
    </xdr:pic>
    <xdr:clientData/>
  </xdr:twoCellAnchor>
  <xdr:twoCellAnchor editAs="oneCell">
    <xdr:from>
      <xdr:col>11</xdr:col>
      <xdr:colOff>66828</xdr:colOff>
      <xdr:row>116</xdr:row>
      <xdr:rowOff>76607</xdr:rowOff>
    </xdr:from>
    <xdr:to>
      <xdr:col>23</xdr:col>
      <xdr:colOff>152449</xdr:colOff>
      <xdr:row>138</xdr:row>
      <xdr:rowOff>80980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2850F503-C6DF-434B-AB02-884890CD8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872475" y="21251242"/>
          <a:ext cx="10206774" cy="3957809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139</xdr:row>
      <xdr:rowOff>0</xdr:rowOff>
    </xdr:from>
    <xdr:to>
      <xdr:col>23</xdr:col>
      <xdr:colOff>453230</xdr:colOff>
      <xdr:row>157</xdr:row>
      <xdr:rowOff>146083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564CCF39-9251-7C35-440B-1F08E22F8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803086" y="25995086"/>
          <a:ext cx="10555173" cy="3477110"/>
        </a:xfrm>
        <a:prstGeom prst="rect">
          <a:avLst/>
        </a:prstGeom>
      </xdr:spPr>
    </xdr:pic>
    <xdr:clientData/>
  </xdr:twoCellAnchor>
  <xdr:twoCellAnchor editAs="oneCell">
    <xdr:from>
      <xdr:col>11</xdr:col>
      <xdr:colOff>206188</xdr:colOff>
      <xdr:row>158</xdr:row>
      <xdr:rowOff>125506</xdr:rowOff>
    </xdr:from>
    <xdr:to>
      <xdr:col>16</xdr:col>
      <xdr:colOff>257679</xdr:colOff>
      <xdr:row>161</xdr:row>
      <xdr:rowOff>140152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901C3899-1FCC-5B43-8E39-409ED54D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4011835" y="28722918"/>
          <a:ext cx="3610479" cy="552527"/>
        </a:xfrm>
        <a:prstGeom prst="rect">
          <a:avLst/>
        </a:prstGeom>
      </xdr:spPr>
    </xdr:pic>
    <xdr:clientData/>
  </xdr:twoCellAnchor>
  <xdr:twoCellAnchor editAs="oneCell">
    <xdr:from>
      <xdr:col>11</xdr:col>
      <xdr:colOff>143435</xdr:colOff>
      <xdr:row>162</xdr:row>
      <xdr:rowOff>116541</xdr:rowOff>
    </xdr:from>
    <xdr:to>
      <xdr:col>23</xdr:col>
      <xdr:colOff>272612</xdr:colOff>
      <xdr:row>176</xdr:row>
      <xdr:rowOff>73741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9645D576-EB05-A181-1369-F335AF6A1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3949082" y="29449059"/>
          <a:ext cx="10250330" cy="2467319"/>
        </a:xfrm>
        <a:prstGeom prst="rect">
          <a:avLst/>
        </a:prstGeom>
      </xdr:spPr>
    </xdr:pic>
    <xdr:clientData/>
  </xdr:twoCellAnchor>
  <xdr:twoCellAnchor editAs="oneCell">
    <xdr:from>
      <xdr:col>11</xdr:col>
      <xdr:colOff>98611</xdr:colOff>
      <xdr:row>177</xdr:row>
      <xdr:rowOff>62753</xdr:rowOff>
    </xdr:from>
    <xdr:to>
      <xdr:col>13</xdr:col>
      <xdr:colOff>549952</xdr:colOff>
      <xdr:row>186</xdr:row>
      <xdr:rowOff>59057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EB4A2A82-9A2A-5F8A-B305-AD1E027C2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904258" y="32084682"/>
          <a:ext cx="2181529" cy="1609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195"/>
  <sheetViews>
    <sheetView tabSelected="1" zoomScale="85" zoomScaleNormal="85" workbookViewId="0">
      <selection activeCell="B19" sqref="B19"/>
    </sheetView>
  </sheetViews>
  <sheetFormatPr defaultRowHeight="14.4"/>
  <cols>
    <col min="2" max="2" width="60.33203125" customWidth="1"/>
    <col min="3" max="3" width="12.21875" customWidth="1"/>
    <col min="5" max="5" width="24.44140625" customWidth="1"/>
    <col min="6" max="6" width="11" customWidth="1"/>
    <col min="8" max="8" width="23.5546875" customWidth="1"/>
    <col min="9" max="9" width="17.44140625" customWidth="1"/>
    <col min="10" max="10" width="13" customWidth="1"/>
    <col min="11" max="11" width="12.6640625" customWidth="1"/>
    <col min="12" max="12" width="10" bestFit="1" customWidth="1"/>
    <col min="13" max="13" width="15.109375" customWidth="1"/>
    <col min="17" max="17" width="25.44140625" customWidth="1"/>
    <col min="18" max="18" width="12.88671875" customWidth="1"/>
    <col min="19" max="19" width="21.6640625" customWidth="1"/>
  </cols>
  <sheetData>
    <row r="1" spans="2:19" ht="15" thickBot="1"/>
    <row r="2" spans="2:19">
      <c r="B2" s="57" t="s">
        <v>15</v>
      </c>
      <c r="C2" s="58" t="s">
        <v>4</v>
      </c>
      <c r="D2" s="58"/>
      <c r="E2" s="58"/>
      <c r="F2" s="59"/>
      <c r="H2" s="41" t="s">
        <v>16</v>
      </c>
      <c r="I2" s="42">
        <v>18</v>
      </c>
      <c r="J2" s="43" t="s">
        <v>17</v>
      </c>
      <c r="Q2" s="2" t="s">
        <v>20</v>
      </c>
      <c r="R2" s="2" t="s">
        <v>21</v>
      </c>
      <c r="S2" s="2" t="s">
        <v>22</v>
      </c>
    </row>
    <row r="3" spans="2:19">
      <c r="B3" s="60" t="s">
        <v>0</v>
      </c>
      <c r="C3" s="4">
        <v>3.7999999999999999E-2</v>
      </c>
      <c r="D3" s="4"/>
      <c r="E3" s="4"/>
      <c r="F3" s="56"/>
      <c r="H3" s="44"/>
      <c r="I3" s="45">
        <v>0.17657999999999999</v>
      </c>
      <c r="J3" s="46" t="s">
        <v>18</v>
      </c>
      <c r="Q3" s="2"/>
      <c r="R3" s="2"/>
      <c r="S3" s="2"/>
    </row>
    <row r="4" spans="2:19">
      <c r="B4" s="60" t="s">
        <v>1</v>
      </c>
      <c r="C4" s="4">
        <v>8.8999999999999996E-2</v>
      </c>
      <c r="D4" s="4"/>
      <c r="E4" s="4"/>
      <c r="F4" s="56"/>
      <c r="H4" s="44"/>
      <c r="I4" s="45"/>
      <c r="J4" s="46"/>
      <c r="Q4" s="2"/>
      <c r="R4" s="2"/>
      <c r="S4" s="2"/>
    </row>
    <row r="5" spans="2:19" ht="15" thickBot="1">
      <c r="B5" s="60" t="s">
        <v>2</v>
      </c>
      <c r="C5" s="4">
        <v>3</v>
      </c>
      <c r="D5" s="4"/>
      <c r="E5" s="4"/>
      <c r="F5" s="56"/>
      <c r="H5" s="47" t="s">
        <v>19</v>
      </c>
      <c r="I5" s="48">
        <f>I10*I2</f>
        <v>313.2</v>
      </c>
      <c r="J5" s="49" t="s">
        <v>30</v>
      </c>
      <c r="Q5" s="2"/>
      <c r="R5" s="2"/>
      <c r="S5" s="2"/>
    </row>
    <row r="6" spans="2:19" ht="15" thickBot="1">
      <c r="B6" s="60" t="s">
        <v>26</v>
      </c>
      <c r="C6" s="4">
        <f>C3*C4*C5</f>
        <v>1.0145999999999999E-2</v>
      </c>
      <c r="D6" s="4" t="s">
        <v>27</v>
      </c>
      <c r="E6" s="4"/>
      <c r="F6" s="56"/>
    </row>
    <row r="7" spans="2:19">
      <c r="B7" s="60" t="s">
        <v>28</v>
      </c>
      <c r="C7" s="4">
        <f>C6*J39</f>
        <v>6.0875999999999992</v>
      </c>
      <c r="D7" s="4" t="s">
        <v>30</v>
      </c>
      <c r="E7" s="4">
        <f>C7/3</f>
        <v>2.0291999999999999</v>
      </c>
      <c r="F7" s="56" t="s">
        <v>31</v>
      </c>
      <c r="H7" s="78" t="s">
        <v>11</v>
      </c>
      <c r="I7" s="79" t="s">
        <v>4</v>
      </c>
      <c r="J7" s="80"/>
    </row>
    <row r="8" spans="2:19">
      <c r="B8" s="60" t="s">
        <v>5</v>
      </c>
      <c r="C8" s="4">
        <v>24</v>
      </c>
      <c r="D8" s="4"/>
      <c r="E8" s="4"/>
      <c r="F8" s="56"/>
      <c r="H8" s="81" t="s">
        <v>2</v>
      </c>
      <c r="I8" s="82">
        <v>5.8</v>
      </c>
      <c r="J8" s="83"/>
    </row>
    <row r="9" spans="2:19" ht="15" thickBot="1">
      <c r="B9" s="61" t="s">
        <v>6</v>
      </c>
      <c r="C9" s="62">
        <f>E7*C8</f>
        <v>48.700800000000001</v>
      </c>
      <c r="D9" s="62" t="s">
        <v>30</v>
      </c>
      <c r="E9" s="62"/>
      <c r="F9" s="63"/>
      <c r="H9" s="81" t="s">
        <v>0</v>
      </c>
      <c r="I9" s="82">
        <v>3</v>
      </c>
      <c r="J9" s="83"/>
    </row>
    <row r="10" spans="2:19">
      <c r="H10" s="81" t="s">
        <v>12</v>
      </c>
      <c r="I10" s="82">
        <f>I8*I9</f>
        <v>17.399999999999999</v>
      </c>
      <c r="J10" s="83" t="s">
        <v>13</v>
      </c>
    </row>
    <row r="11" spans="2:19" ht="15" thickBot="1">
      <c r="H11" s="84" t="s">
        <v>104</v>
      </c>
      <c r="I11" s="85">
        <v>0.23</v>
      </c>
      <c r="J11" s="86"/>
    </row>
    <row r="12" spans="2:19" ht="15" thickBot="1"/>
    <row r="13" spans="2:19">
      <c r="B13" s="50" t="s">
        <v>14</v>
      </c>
      <c r="C13" s="51"/>
      <c r="D13" s="52"/>
    </row>
    <row r="14" spans="2:19">
      <c r="B14" s="53" t="s">
        <v>8</v>
      </c>
      <c r="C14" s="54">
        <v>10</v>
      </c>
      <c r="D14" s="55" t="s">
        <v>17</v>
      </c>
    </row>
    <row r="15" spans="2:19">
      <c r="B15" s="53" t="s">
        <v>9</v>
      </c>
      <c r="C15" s="54">
        <f>I10</f>
        <v>17.399999999999999</v>
      </c>
      <c r="D15" s="55" t="s">
        <v>13</v>
      </c>
    </row>
    <row r="16" spans="2:19" ht="15" thickBot="1">
      <c r="B16" s="21" t="s">
        <v>10</v>
      </c>
      <c r="C16" s="22">
        <f>C15*C14</f>
        <v>174</v>
      </c>
      <c r="D16" s="23" t="s">
        <v>30</v>
      </c>
      <c r="F16" t="s">
        <v>23</v>
      </c>
    </row>
    <row r="17" spans="2:9">
      <c r="F17">
        <v>24</v>
      </c>
      <c r="G17">
        <f>F17*E7</f>
        <v>48.700800000000001</v>
      </c>
      <c r="H17" t="s">
        <v>7</v>
      </c>
    </row>
    <row r="18" spans="2:9" ht="15" thickBot="1"/>
    <row r="19" spans="2:9" ht="21">
      <c r="B19" s="64"/>
      <c r="C19" s="65"/>
      <c r="D19" s="65"/>
      <c r="E19" s="66"/>
      <c r="F19" s="67"/>
      <c r="I19" t="s">
        <v>32</v>
      </c>
    </row>
    <row r="20" spans="2:9">
      <c r="B20" s="68"/>
      <c r="C20" s="69"/>
      <c r="D20" s="69"/>
      <c r="E20" s="69"/>
      <c r="F20" s="70"/>
    </row>
    <row r="21" spans="2:9">
      <c r="B21" s="68"/>
      <c r="C21" s="69"/>
      <c r="D21" s="69"/>
      <c r="E21" s="69"/>
      <c r="F21" s="70"/>
    </row>
    <row r="22" spans="2:9">
      <c r="B22" s="68"/>
      <c r="C22" s="69"/>
      <c r="D22" s="69"/>
      <c r="E22" s="69"/>
      <c r="F22" s="70"/>
    </row>
    <row r="23" spans="2:9">
      <c r="B23" s="68"/>
      <c r="C23" s="69"/>
      <c r="D23" s="69"/>
      <c r="E23" s="69"/>
      <c r="F23" s="70"/>
    </row>
    <row r="24" spans="2:9">
      <c r="B24" s="68"/>
      <c r="C24" s="71"/>
      <c r="D24" s="69"/>
      <c r="E24" s="69"/>
      <c r="F24" s="70"/>
    </row>
    <row r="25" spans="2:9">
      <c r="B25" s="68"/>
      <c r="C25" s="72"/>
      <c r="D25" s="69"/>
      <c r="E25" s="69"/>
      <c r="F25" s="70"/>
    </row>
    <row r="26" spans="2:9">
      <c r="B26" s="68"/>
      <c r="C26" s="69"/>
      <c r="D26" s="69"/>
      <c r="E26" s="69"/>
      <c r="F26" s="70"/>
    </row>
    <row r="27" spans="2:9">
      <c r="B27" s="68"/>
      <c r="C27" s="69"/>
      <c r="D27" s="69"/>
      <c r="E27" s="69"/>
      <c r="F27" s="70"/>
    </row>
    <row r="28" spans="2:9">
      <c r="B28" s="68"/>
      <c r="C28" s="69"/>
      <c r="D28" s="69"/>
      <c r="E28" s="73"/>
      <c r="F28" s="70"/>
    </row>
    <row r="29" spans="2:9">
      <c r="B29" s="68"/>
      <c r="C29" s="69"/>
      <c r="D29" s="69"/>
      <c r="E29" s="69"/>
      <c r="F29" s="70"/>
    </row>
    <row r="30" spans="2:9" ht="15" thickBot="1">
      <c r="B30" s="74"/>
      <c r="C30" s="75"/>
      <c r="D30" s="75"/>
      <c r="E30" s="75"/>
      <c r="F30" s="76"/>
    </row>
    <row r="32" spans="2:9" ht="15" thickBot="1"/>
    <row r="33" spans="2:10">
      <c r="B33" s="5" t="s">
        <v>33</v>
      </c>
      <c r="C33" t="s">
        <v>35</v>
      </c>
      <c r="D33" t="s">
        <v>36</v>
      </c>
      <c r="E33" t="s">
        <v>37</v>
      </c>
      <c r="I33" s="35" t="s">
        <v>77</v>
      </c>
      <c r="J33" s="36" t="s">
        <v>99</v>
      </c>
    </row>
    <row r="34" spans="2:10">
      <c r="B34" t="s">
        <v>34</v>
      </c>
      <c r="C34">
        <v>114</v>
      </c>
      <c r="D34">
        <v>89</v>
      </c>
      <c r="E34">
        <v>2500</v>
      </c>
      <c r="I34" s="37"/>
      <c r="J34" s="38"/>
    </row>
    <row r="35" spans="2:10">
      <c r="I35" s="37" t="s">
        <v>78</v>
      </c>
      <c r="J35" s="38">
        <v>11000</v>
      </c>
    </row>
    <row r="36" spans="2:10" ht="15" thickBot="1">
      <c r="I36" s="37" t="s">
        <v>79</v>
      </c>
      <c r="J36" s="38">
        <v>21</v>
      </c>
    </row>
    <row r="37" spans="2:10" ht="15" thickBot="1">
      <c r="B37" s="57" t="s">
        <v>39</v>
      </c>
      <c r="C37" s="58"/>
      <c r="D37" s="58"/>
      <c r="E37" s="58"/>
      <c r="F37" s="59"/>
      <c r="I37" s="39" t="s">
        <v>80</v>
      </c>
      <c r="J37" s="40">
        <v>0.7</v>
      </c>
    </row>
    <row r="38" spans="2:10">
      <c r="B38" s="19" t="s">
        <v>40</v>
      </c>
      <c r="C38">
        <v>2500</v>
      </c>
      <c r="D38" t="s">
        <v>24</v>
      </c>
      <c r="F38" s="20"/>
      <c r="I38" t="s">
        <v>3</v>
      </c>
      <c r="J38" s="1" t="s">
        <v>29</v>
      </c>
    </row>
    <row r="39" spans="2:10">
      <c r="B39" s="121" t="s">
        <v>105</v>
      </c>
      <c r="C39">
        <v>5500</v>
      </c>
      <c r="D39" t="s">
        <v>44</v>
      </c>
      <c r="E39">
        <f>C39/1000</f>
        <v>5.5</v>
      </c>
      <c r="F39" s="20" t="s">
        <v>7</v>
      </c>
      <c r="J39" s="3">
        <v>600</v>
      </c>
    </row>
    <row r="40" spans="2:10">
      <c r="B40" s="19" t="s">
        <v>106</v>
      </c>
      <c r="C40">
        <v>2</v>
      </c>
      <c r="F40" s="20"/>
    </row>
    <row r="41" spans="2:10">
      <c r="B41" s="19" t="s">
        <v>45</v>
      </c>
      <c r="C41">
        <v>38</v>
      </c>
      <c r="D41" t="s">
        <v>24</v>
      </c>
      <c r="F41" s="20"/>
    </row>
    <row r="42" spans="2:10">
      <c r="B42" s="19" t="s">
        <v>41</v>
      </c>
      <c r="C42">
        <v>89</v>
      </c>
      <c r="D42" t="s">
        <v>24</v>
      </c>
      <c r="F42" s="20"/>
    </row>
    <row r="43" spans="2:10" ht="15" thickBot="1">
      <c r="B43" s="19" t="s">
        <v>42</v>
      </c>
      <c r="C43">
        <v>38</v>
      </c>
      <c r="F43" s="20"/>
      <c r="H43" t="s">
        <v>114</v>
      </c>
    </row>
    <row r="44" spans="2:10" ht="15" thickBot="1">
      <c r="B44" s="19" t="s">
        <v>43</v>
      </c>
      <c r="C44">
        <v>500</v>
      </c>
      <c r="D44" t="s">
        <v>24</v>
      </c>
      <c r="E44" s="122" t="s">
        <v>110</v>
      </c>
      <c r="F44" s="103">
        <f>(J36*C45)/1.4</f>
        <v>10.5</v>
      </c>
      <c r="H44" s="16" t="s">
        <v>112</v>
      </c>
      <c r="I44" s="18">
        <v>60000</v>
      </c>
    </row>
    <row r="45" spans="2:10" ht="15" thickBot="1">
      <c r="B45" s="19" t="s">
        <v>46</v>
      </c>
      <c r="C45">
        <v>0.7</v>
      </c>
      <c r="F45" s="20"/>
      <c r="H45" s="29" t="s">
        <v>113</v>
      </c>
      <c r="I45" s="30">
        <v>60000</v>
      </c>
    </row>
    <row r="46" spans="2:10">
      <c r="B46" s="19" t="s">
        <v>83</v>
      </c>
      <c r="F46" s="20"/>
    </row>
    <row r="47" spans="2:10" ht="15" thickBot="1">
      <c r="B47" s="29" t="s">
        <v>98</v>
      </c>
      <c r="C47" s="118">
        <f>(C41/2)+ (C43/2)</f>
        <v>38</v>
      </c>
      <c r="D47" s="118"/>
      <c r="E47" s="118"/>
      <c r="F47" s="30"/>
    </row>
    <row r="48" spans="2:10" ht="15" thickBot="1"/>
    <row r="49" spans="2:14">
      <c r="B49" s="123" t="s">
        <v>38</v>
      </c>
      <c r="C49" s="124"/>
      <c r="D49" s="124"/>
      <c r="E49" s="124"/>
      <c r="F49" s="125"/>
    </row>
    <row r="50" spans="2:14">
      <c r="B50" s="9" t="s">
        <v>53</v>
      </c>
      <c r="C50" s="6"/>
      <c r="D50" s="6"/>
      <c r="E50" s="6"/>
      <c r="F50" s="10"/>
    </row>
    <row r="51" spans="2:14">
      <c r="B51" s="9" t="s">
        <v>47</v>
      </c>
      <c r="C51" s="6">
        <f>C41</f>
        <v>38</v>
      </c>
      <c r="D51" s="6" t="s">
        <v>48</v>
      </c>
      <c r="E51" s="6">
        <f>3*C43</f>
        <v>114</v>
      </c>
      <c r="F51" s="11" t="s">
        <v>49</v>
      </c>
    </row>
    <row r="52" spans="2:14">
      <c r="B52" s="9" t="s">
        <v>50</v>
      </c>
      <c r="C52" s="6">
        <f>C44</f>
        <v>500</v>
      </c>
      <c r="D52" s="6" t="s">
        <v>48</v>
      </c>
      <c r="E52" s="6">
        <f>18*C43</f>
        <v>684</v>
      </c>
      <c r="F52" s="11" t="s">
        <v>49</v>
      </c>
    </row>
    <row r="53" spans="2:14" ht="15" thickBot="1">
      <c r="B53" s="12" t="s">
        <v>51</v>
      </c>
      <c r="C53" s="7">
        <f>C44</f>
        <v>500</v>
      </c>
      <c r="D53" s="7" t="s">
        <v>52</v>
      </c>
      <c r="E53" s="7">
        <f>9*C43</f>
        <v>342</v>
      </c>
      <c r="F53" s="13" t="s">
        <v>49</v>
      </c>
    </row>
    <row r="55" spans="2:14">
      <c r="B55" s="8" t="s">
        <v>54</v>
      </c>
    </row>
    <row r="56" spans="2:14" ht="15" thickBot="1"/>
    <row r="57" spans="2:14" ht="15" thickBot="1">
      <c r="B57" s="119" t="s">
        <v>66</v>
      </c>
      <c r="C57" s="120"/>
    </row>
    <row r="58" spans="2:14">
      <c r="B58" s="93" t="s">
        <v>70</v>
      </c>
      <c r="C58" s="94">
        <f>C195</f>
        <v>110.93043529409114</v>
      </c>
    </row>
    <row r="59" spans="2:14">
      <c r="B59" s="95" t="s">
        <v>71</v>
      </c>
      <c r="C59" s="96">
        <f>D186/C179</f>
        <v>97.306225144318944</v>
      </c>
      <c r="I59" t="s">
        <v>56</v>
      </c>
      <c r="J59">
        <f>C43*C42</f>
        <v>3382</v>
      </c>
      <c r="K59" t="s">
        <v>25</v>
      </c>
      <c r="L59" t="s">
        <v>60</v>
      </c>
      <c r="M59">
        <f>E176</f>
        <v>4464803.666666667</v>
      </c>
      <c r="N59" t="s">
        <v>57</v>
      </c>
    </row>
    <row r="60" spans="2:14">
      <c r="B60" s="95" t="s">
        <v>76</v>
      </c>
      <c r="C60" s="96">
        <f>SQRT(J37*J35/J36) * 3.14159265</f>
        <v>60.156919292761401</v>
      </c>
      <c r="I60" t="s">
        <v>55</v>
      </c>
      <c r="J60">
        <f>2*J59</f>
        <v>6764</v>
      </c>
      <c r="K60" t="s">
        <v>25</v>
      </c>
      <c r="L60" t="s">
        <v>115</v>
      </c>
      <c r="M60">
        <f>E177</f>
        <v>813934.66666666663</v>
      </c>
      <c r="N60" t="s">
        <v>57</v>
      </c>
    </row>
    <row r="61" spans="2:14">
      <c r="B61" s="95" t="s">
        <v>81</v>
      </c>
      <c r="C61" s="96">
        <f>C58/C60</f>
        <v>1.8440178885197542</v>
      </c>
      <c r="I61" t="s">
        <v>58</v>
      </c>
      <c r="J61">
        <f>F174</f>
        <v>10581150.666666666</v>
      </c>
      <c r="K61" t="s">
        <v>57</v>
      </c>
    </row>
    <row r="62" spans="2:14" ht="15" thickBot="1">
      <c r="B62" s="97" t="s">
        <v>82</v>
      </c>
      <c r="C62" s="98">
        <f>C59/C60</f>
        <v>1.617540031775325</v>
      </c>
      <c r="I62" t="s">
        <v>62</v>
      </c>
      <c r="J62">
        <f>J60/F174</f>
        <v>6.3924994672917112E-4</v>
      </c>
    </row>
    <row r="63" spans="2:14">
      <c r="B63" s="33" t="s">
        <v>93</v>
      </c>
      <c r="C63" s="31">
        <f>1/SQRT(C72^2 - C62^2)</f>
        <v>0.93370106012142051</v>
      </c>
      <c r="I63">
        <f>SQRT(J62)</f>
        <v>2.5283392706066391E-2</v>
      </c>
    </row>
    <row r="64" spans="2:14" ht="15" thickBot="1">
      <c r="B64" s="34" t="s">
        <v>95</v>
      </c>
      <c r="C64" s="32">
        <f>1/SQRT(F72^2 - C61^2)</f>
        <v>0.6829874172379955</v>
      </c>
      <c r="I64" t="s">
        <v>63</v>
      </c>
      <c r="J64">
        <f>C38*I63</f>
        <v>63.208481765165978</v>
      </c>
    </row>
    <row r="65" spans="2:10" ht="15" thickBot="1">
      <c r="I65" t="s">
        <v>64</v>
      </c>
      <c r="J65">
        <f>C44/C43</f>
        <v>13.157894736842104</v>
      </c>
    </row>
    <row r="66" spans="2:10">
      <c r="B66" s="24" t="s">
        <v>94</v>
      </c>
      <c r="C66" s="25"/>
      <c r="D66" s="25"/>
      <c r="E66" s="25"/>
      <c r="F66" s="26"/>
      <c r="J66">
        <f>SQRT(12)</f>
        <v>3.4641016151377544</v>
      </c>
    </row>
    <row r="67" spans="2:10">
      <c r="B67" s="19" t="s">
        <v>86</v>
      </c>
      <c r="C67">
        <f>C62^2</f>
        <v>2.6164357543957193</v>
      </c>
      <c r="D67" s="27"/>
      <c r="E67" t="s">
        <v>89</v>
      </c>
      <c r="F67" s="20">
        <f>C61^2</f>
        <v>3.4004019731808528</v>
      </c>
      <c r="I67" t="s">
        <v>65</v>
      </c>
      <c r="J67">
        <f>J66*J65</f>
        <v>45.580284409707289</v>
      </c>
    </row>
    <row r="68" spans="2:10">
      <c r="B68" s="19" t="s">
        <v>87</v>
      </c>
      <c r="C68">
        <f>C62-0.3</f>
        <v>1.317540031775325</v>
      </c>
      <c r="D68" s="27"/>
      <c r="E68" t="s">
        <v>90</v>
      </c>
      <c r="F68" s="20">
        <f>C61-0.3</f>
        <v>1.5440178885197542</v>
      </c>
    </row>
    <row r="69" spans="2:10">
      <c r="B69" s="19" t="s">
        <v>85</v>
      </c>
      <c r="C69">
        <v>0.2</v>
      </c>
      <c r="D69" s="27"/>
      <c r="F69" s="20"/>
    </row>
    <row r="70" spans="2:10">
      <c r="B70" s="19" t="s">
        <v>88</v>
      </c>
      <c r="C70">
        <f>C69*C68</f>
        <v>0.26350800635506499</v>
      </c>
      <c r="D70" s="27"/>
      <c r="E70" t="s">
        <v>91</v>
      </c>
      <c r="F70" s="20">
        <f>C69*F68</f>
        <v>0.30880357770395084</v>
      </c>
    </row>
    <row r="71" spans="2:10">
      <c r="B71" s="19"/>
      <c r="C71">
        <f>1+C70+C67</f>
        <v>3.8799437607507841</v>
      </c>
      <c r="D71" s="27"/>
      <c r="F71" s="20">
        <f>1+F70+F67</f>
        <v>4.7092055508848034</v>
      </c>
    </row>
    <row r="72" spans="2:10" ht="15" thickBot="1">
      <c r="B72" s="21" t="s">
        <v>84</v>
      </c>
      <c r="C72" s="22">
        <f>C71*0.5</f>
        <v>1.939971880375392</v>
      </c>
      <c r="D72" s="28"/>
      <c r="E72" s="22" t="s">
        <v>92</v>
      </c>
      <c r="F72" s="23">
        <f>0.5*F71</f>
        <v>2.3546027754424017</v>
      </c>
    </row>
    <row r="73" spans="2:10" ht="15" thickBot="1"/>
    <row r="74" spans="2:10">
      <c r="B74" s="87" t="s">
        <v>96</v>
      </c>
      <c r="C74" s="88">
        <f>C39/60*C64</f>
        <v>62.607179913482923</v>
      </c>
      <c r="D74" s="89" t="s">
        <v>44</v>
      </c>
    </row>
    <row r="75" spans="2:10" ht="15" thickBot="1">
      <c r="B75" s="90" t="s">
        <v>97</v>
      </c>
      <c r="C75" s="91">
        <f>C74*(C44/C47)</f>
        <v>823.77868307214362</v>
      </c>
      <c r="D75" s="92" t="s">
        <v>44</v>
      </c>
    </row>
    <row r="78" spans="2:10">
      <c r="B78" s="14" t="s">
        <v>101</v>
      </c>
    </row>
    <row r="81" spans="2:6">
      <c r="B81" s="77" t="s">
        <v>102</v>
      </c>
      <c r="C81" t="s">
        <v>116</v>
      </c>
      <c r="D81">
        <f>(I44*C43)/M59</f>
        <v>0.51066075245861875</v>
      </c>
    </row>
    <row r="82" spans="2:6">
      <c r="B82" s="77" t="s">
        <v>103</v>
      </c>
      <c r="C82" t="s">
        <v>117</v>
      </c>
      <c r="D82">
        <f>(I45*C42)/E177</f>
        <v>6.5607231374835981</v>
      </c>
    </row>
    <row r="83" spans="2:6" ht="15" thickBot="1"/>
    <row r="84" spans="2:6" ht="15" thickBot="1">
      <c r="B84" s="16"/>
      <c r="C84" s="99" t="s">
        <v>109</v>
      </c>
      <c r="D84" s="100"/>
      <c r="E84" s="100" t="s">
        <v>48</v>
      </c>
      <c r="F84" s="101" t="s">
        <v>107</v>
      </c>
    </row>
    <row r="85" spans="2:6" ht="15" thickBot="1">
      <c r="B85" s="102" t="s">
        <v>108</v>
      </c>
      <c r="C85" s="115">
        <f>C39/J60</f>
        <v>0.81312832643406263</v>
      </c>
      <c r="D85" s="116"/>
      <c r="E85" s="116" t="s">
        <v>48</v>
      </c>
      <c r="F85" s="117">
        <f>F44</f>
        <v>10.5</v>
      </c>
    </row>
    <row r="86" spans="2:6" ht="15" thickBot="1"/>
    <row r="87" spans="2:6">
      <c r="B87" s="16" t="s">
        <v>122</v>
      </c>
      <c r="C87" s="17"/>
      <c r="D87" s="17"/>
      <c r="E87" s="17"/>
      <c r="F87" s="18"/>
    </row>
    <row r="88" spans="2:6" ht="15" thickBot="1">
      <c r="B88" s="19"/>
      <c r="F88" s="20"/>
    </row>
    <row r="89" spans="2:6">
      <c r="B89" s="114" t="s">
        <v>100</v>
      </c>
      <c r="C89" s="104">
        <f>C169+E169+G169*H169</f>
        <v>0.56895550046247989</v>
      </c>
      <c r="D89" s="105" t="s">
        <v>48</v>
      </c>
      <c r="E89" s="105">
        <v>1</v>
      </c>
      <c r="F89" s="106" t="s">
        <v>120</v>
      </c>
    </row>
    <row r="90" spans="2:6">
      <c r="B90" s="19"/>
      <c r="C90" s="107"/>
      <c r="D90" s="108"/>
      <c r="E90" s="108"/>
      <c r="F90" s="109"/>
    </row>
    <row r="91" spans="2:6" ht="15" thickBot="1">
      <c r="B91" s="102" t="s">
        <v>121</v>
      </c>
      <c r="C91" s="110">
        <f>C170+E170+G170</f>
        <v>0.74181442574890788</v>
      </c>
      <c r="D91" s="111" t="s">
        <v>48</v>
      </c>
      <c r="E91" s="111">
        <v>1</v>
      </c>
      <c r="F91" s="112" t="s">
        <v>120</v>
      </c>
    </row>
    <row r="121" spans="6:6" ht="15" thickBot="1"/>
    <row r="122" spans="6:6">
      <c r="F122" s="99" t="s">
        <v>109</v>
      </c>
    </row>
    <row r="151" spans="5:8">
      <c r="E151" s="113"/>
      <c r="F151" s="113"/>
      <c r="G151" s="113"/>
      <c r="H151" s="113"/>
    </row>
    <row r="169" spans="2:8">
      <c r="C169" s="2">
        <f>C85/(C63*F85)</f>
        <v>8.2939600586562121E-2</v>
      </c>
      <c r="D169" s="2" t="s">
        <v>111</v>
      </c>
      <c r="E169" s="2">
        <f>D81/F44</f>
        <v>4.8634357377011307E-2</v>
      </c>
      <c r="F169" s="2" t="s">
        <v>111</v>
      </c>
      <c r="G169" s="2">
        <v>0.7</v>
      </c>
      <c r="H169" s="2">
        <f>D82/F44</f>
        <v>0.62483077499843787</v>
      </c>
    </row>
    <row r="170" spans="2:8">
      <c r="C170" s="2">
        <f>C85/(C63*F85)</f>
        <v>8.2939600586562121E-2</v>
      </c>
      <c r="D170" s="2" t="s">
        <v>111</v>
      </c>
      <c r="E170" s="2">
        <f>0.7*(D81/F44)</f>
        <v>3.4044050163907914E-2</v>
      </c>
      <c r="F170" s="2" t="s">
        <v>111</v>
      </c>
      <c r="G170" s="2">
        <f>D82/F44</f>
        <v>0.62483077499843787</v>
      </c>
      <c r="H170" s="2"/>
    </row>
    <row r="174" spans="2:8">
      <c r="B174">
        <f>2*C43 +C41</f>
        <v>114</v>
      </c>
      <c r="C174">
        <f>B174^3</f>
        <v>1481544</v>
      </c>
      <c r="D174">
        <f>C174-C175</f>
        <v>1426672</v>
      </c>
      <c r="E174">
        <f>C42*D174</f>
        <v>126973808</v>
      </c>
      <c r="F174" s="14">
        <f>E174/12</f>
        <v>10581150.666666666</v>
      </c>
      <c r="G174" t="s">
        <v>57</v>
      </c>
      <c r="H174" t="s">
        <v>61</v>
      </c>
    </row>
    <row r="175" spans="2:8">
      <c r="C175">
        <f>C41^3</f>
        <v>54872</v>
      </c>
    </row>
    <row r="176" spans="2:8">
      <c r="C176">
        <f>2*C43</f>
        <v>76</v>
      </c>
      <c r="D176">
        <f>C42^3</f>
        <v>704969</v>
      </c>
      <c r="E176">
        <f>C176*D176/12</f>
        <v>4464803.666666667</v>
      </c>
      <c r="H176" t="s">
        <v>59</v>
      </c>
    </row>
    <row r="177" spans="3:15">
      <c r="C177">
        <f>2*C42</f>
        <v>178</v>
      </c>
      <c r="D177">
        <f>C43^3</f>
        <v>54872</v>
      </c>
      <c r="E177">
        <f>(C177*D177)/12</f>
        <v>813934.66666666663</v>
      </c>
      <c r="H177" t="s">
        <v>115</v>
      </c>
    </row>
    <row r="178" spans="3:15">
      <c r="C178" t="s">
        <v>72</v>
      </c>
      <c r="D178">
        <f>M59/J60</f>
        <v>660.08333333333337</v>
      </c>
    </row>
    <row r="179" spans="3:15">
      <c r="C179">
        <f>SQRT(D178)</f>
        <v>25.692086978938349</v>
      </c>
      <c r="O179" t="s">
        <v>119</v>
      </c>
    </row>
    <row r="181" spans="3:15">
      <c r="C181" t="s">
        <v>73</v>
      </c>
    </row>
    <row r="183" spans="3:15">
      <c r="C183" t="s">
        <v>75</v>
      </c>
      <c r="D183">
        <v>1</v>
      </c>
      <c r="O183" t="s">
        <v>118</v>
      </c>
    </row>
    <row r="186" spans="3:15">
      <c r="C186" s="15" t="s">
        <v>74</v>
      </c>
      <c r="D186" s="15">
        <f>C38*D183</f>
        <v>2500</v>
      </c>
    </row>
    <row r="190" spans="3:15">
      <c r="C190" t="s">
        <v>69</v>
      </c>
      <c r="D190">
        <f>J64^2</f>
        <v>3995.31216705732</v>
      </c>
    </row>
    <row r="191" spans="3:15">
      <c r="C191" t="s">
        <v>67</v>
      </c>
      <c r="D191">
        <f>2*4/2</f>
        <v>4</v>
      </c>
    </row>
    <row r="192" spans="3:15">
      <c r="C192" t="s">
        <v>68</v>
      </c>
      <c r="D192">
        <f>J67^2</f>
        <v>2077.5623268698055</v>
      </c>
    </row>
    <row r="194" spans="3:3">
      <c r="C194">
        <f>D190+D191*D192</f>
        <v>12305.561474536542</v>
      </c>
    </row>
    <row r="195" spans="3:3">
      <c r="C195">
        <f>SQRT(C194)</f>
        <v>110.93043529409114</v>
      </c>
    </row>
  </sheetData>
  <mergeCells count="1">
    <mergeCell ref="B49:F49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Paulo</dc:creator>
  <cp:lastModifiedBy>João Paulo Kulik Lapenna</cp:lastModifiedBy>
  <dcterms:created xsi:type="dcterms:W3CDTF">2015-06-05T18:19:34Z</dcterms:created>
  <dcterms:modified xsi:type="dcterms:W3CDTF">2025-03-26T11:43:08Z</dcterms:modified>
</cp:coreProperties>
</file>